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defaultThemeVersion="124226"/>
  <mc:AlternateContent xmlns:mc="http://schemas.openxmlformats.org/markup-compatibility/2006">
    <mc:Choice Requires="x15">
      <x15ac:absPath xmlns:x15ac="http://schemas.microsoft.com/office/spreadsheetml/2010/11/ac" url="/Users/sivakumarreddy/Desktop/"/>
    </mc:Choice>
  </mc:AlternateContent>
  <xr:revisionPtr revIDLastSave="0" documentId="8_{B563DF92-FDCD-5047-85B2-6B2FE9EC80BB}" xr6:coauthVersionLast="45" xr6:coauthVersionMax="45" xr10:uidLastSave="{00000000-0000-0000-0000-000000000000}"/>
  <bookViews>
    <workbookView xWindow="0" yWindow="0" windowWidth="28800" windowHeight="18000" xr2:uid="{00000000-000D-0000-FFFF-FFFF00000000}"/>
  </bookViews>
  <sheets>
    <sheet name="NPS data" sheetId="1" r:id="rId1"/>
  </sheets>
  <definedNames>
    <definedName name="_xlnm.Print_Area" localSheetId="0">'NPS 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 i="1" l="1"/>
  <c r="J40" i="1"/>
  <c r="J42" i="1" s="1"/>
  <c r="J43" i="1"/>
  <c r="I43" i="1"/>
  <c r="J44" i="1"/>
  <c r="I42" i="1"/>
  <c r="I44" i="1"/>
  <c r="J41" i="1"/>
  <c r="I41" i="1"/>
  <c r="I40" i="1"/>
  <c r="J36" i="1"/>
  <c r="I36" i="1"/>
  <c r="J35" i="1"/>
  <c r="I35" i="1"/>
  <c r="J34" i="1"/>
  <c r="I34" i="1"/>
  <c r="J33" i="1"/>
  <c r="I33" i="1"/>
  <c r="J29" i="1"/>
  <c r="J28" i="1"/>
  <c r="J27" i="1"/>
  <c r="I29" i="1"/>
  <c r="I28" i="1"/>
  <c r="I27" i="1"/>
  <c r="I26" i="1"/>
  <c r="J26" i="1"/>
  <c r="I22" i="1"/>
  <c r="J21" i="1"/>
  <c r="I21" i="1"/>
  <c r="I20" i="1"/>
  <c r="J20" i="1"/>
  <c r="J22" i="1" s="1"/>
  <c r="I19" i="1"/>
  <c r="J15" i="1"/>
  <c r="I15" i="1"/>
  <c r="I14" i="1"/>
  <c r="J14" i="1"/>
  <c r="J13" i="1"/>
  <c r="I13" i="1"/>
  <c r="J12" i="1"/>
  <c r="I12" i="1"/>
  <c r="J7" i="1"/>
  <c r="J6" i="1"/>
  <c r="I7" i="1"/>
  <c r="I6" i="1"/>
  <c r="J5" i="1"/>
  <c r="I5" i="1"/>
  <c r="J8" i="1" l="1"/>
  <c r="I8" i="1"/>
</calcChain>
</file>

<file path=xl/sharedStrings.xml><?xml version="1.0" encoding="utf-8"?>
<sst xmlns="http://schemas.openxmlformats.org/spreadsheetml/2006/main" count="47" uniqueCount="31">
  <si>
    <t>Cust ID</t>
  </si>
  <si>
    <t>Segment</t>
  </si>
  <si>
    <t>'Likely to recommend'</t>
  </si>
  <si>
    <t>All customers</t>
  </si>
  <si>
    <t>Number of clients</t>
  </si>
  <si>
    <t>Number of promoters</t>
  </si>
  <si>
    <t>Number of detractors</t>
  </si>
  <si>
    <t>NPS</t>
  </si>
  <si>
    <t>Indiv.</t>
  </si>
  <si>
    <t>SB</t>
  </si>
  <si>
    <t>Number of passives</t>
  </si>
  <si>
    <t>For customers in both years</t>
  </si>
  <si>
    <t>Individual customers in both years</t>
  </si>
  <si>
    <t>Small business customers in both years</t>
  </si>
  <si>
    <t>Individuals</t>
  </si>
  <si>
    <t>Small business</t>
  </si>
  <si>
    <t>Total revenue generated</t>
  </si>
  <si>
    <t>Number of clients (%)</t>
  </si>
  <si>
    <t>Revenue (%)</t>
  </si>
  <si>
    <t>Average revenue generated per client</t>
  </si>
  <si>
    <t>Analyses</t>
  </si>
  <si>
    <t>Main findings</t>
  </si>
  <si>
    <t>Customers who defected after 2016</t>
  </si>
  <si>
    <t>Sales ($'000)
2017</t>
  </si>
  <si>
    <t>Segment comparison (2017)</t>
  </si>
  <si>
    <t>When the detractors are removed, it indicates that the NPS has declined between the years. This highlights that the findings prior to this calculation artifically inflated the NPS.</t>
  </si>
  <si>
    <t xml:space="preserve">For individual customers, the satisfaction levels  have dropped significantly, almost by 5%. Melacounts should focus on the factors that are causing dissatisfaction for individual customers while ensuring they maintain their standards with satisfied customers. </t>
  </si>
  <si>
    <t xml:space="preserve">For small businesses, the satisfaction has remained constant. Although this does not hurt the satisfaction of the customers, this means that the strategies of Melacounts which was implemented in 2017 did not have a huge impact on the small business customers. In addition, this also indicates that generally small business clients are more satisfied than individual customers. </t>
  </si>
  <si>
    <t xml:space="preserve">This shows that small business clients are satisfied and they are generating more revenue than individual clients. 64% of the revenue is generated from small business clients, therefore this shows that Melacounts has an advantage with its small business clients, hence should work on improving the sales performance of this segment. It is also important to note that Melacount should not lose focus on its individual customers. </t>
  </si>
  <si>
    <t xml:space="preserve">There is a significant change in NPS from 2016 to 2017, this indicates that the performance of Melacounts has improved, which means that the number of satisfied customers has generally increased. </t>
  </si>
  <si>
    <t xml:space="preserve">This indicates that there are 5 small business detractors and 3 individual detractors who have left Melacounts. This indicates that Melacounts had a number of detractors which might have had an impact on the calculation of NPS between 2016 and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</si>
</sst>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0\ \ \ \ \ "/>
    <numFmt numFmtId="166" formatCode="0\ \ \ \ \ \ "/>
    <numFmt numFmtId="167" formatCode="_(&quot;$&quot;* #,##0_);_(&quot;$&quot;* \(#,##0\);_(&quot;$&quot;* &quot;-&quot;??_);_(@_)"/>
    <numFmt numFmtId="168" formatCode="0.0%"/>
    <numFmt numFmtId="169" formatCode="_-&quot;$&quot;* #,##0_-;\-&quot;$&quot;* #,##0_-;_-&quot;$&quot;* &quot;-&quot;??_-;_-@_-"/>
  </numFmts>
  <fonts count="5" x14ac:knownFonts="1">
    <font>
      <sz val="11"/>
      <color theme="1"/>
      <name val="Calibri"/>
      <family val="2"/>
      <scheme val="minor"/>
    </font>
    <font>
      <sz val="11"/>
      <color theme="1"/>
      <name val="Times New Roman"/>
      <family val="1"/>
    </font>
    <font>
      <b/>
      <sz val="11"/>
      <name val="Times New Roman"/>
      <family val="1"/>
    </font>
    <font>
      <sz val="11"/>
      <color theme="1"/>
      <name val="Calibri"/>
      <family val="2"/>
      <scheme val="minor"/>
    </font>
    <font>
      <b/>
      <sz val="11"/>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3" fillId="0" borderId="0" applyFont="0" applyFill="0" applyBorder="0" applyAlignment="0" applyProtection="0"/>
    <xf numFmtId="9" fontId="3" fillId="0" borderId="0" applyFont="0" applyFill="0" applyBorder="0" applyAlignment="0" applyProtection="0"/>
  </cellStyleXfs>
  <cellXfs count="35">
    <xf numFmtId="0" fontId="0" fillId="0" borderId="0" xfId="0"/>
    <xf numFmtId="0" fontId="1" fillId="0" borderId="0" xfId="0" applyFont="1"/>
    <xf numFmtId="165" fontId="1" fillId="0" borderId="1" xfId="0" applyNumberFormat="1" applyFont="1" applyBorder="1"/>
    <xf numFmtId="0" fontId="2" fillId="2" borderId="1" xfId="0" applyFont="1" applyFill="1" applyBorder="1" applyAlignment="1">
      <alignment horizontal="center"/>
    </xf>
    <xf numFmtId="166" fontId="1" fillId="0" borderId="1" xfId="0" applyNumberFormat="1" applyFont="1" applyBorder="1"/>
    <xf numFmtId="0" fontId="2" fillId="2" borderId="2" xfId="0" applyFont="1" applyFill="1" applyBorder="1" applyAlignment="1">
      <alignment horizontal="center"/>
    </xf>
    <xf numFmtId="0" fontId="4" fillId="0" borderId="0" xfId="0" applyFont="1" applyFill="1" applyBorder="1"/>
    <xf numFmtId="0" fontId="1" fillId="0" borderId="0" xfId="0" applyFont="1" applyFill="1"/>
    <xf numFmtId="0" fontId="4" fillId="0" borderId="0" xfId="0" applyFont="1" applyFill="1" applyBorder="1" applyAlignment="1">
      <alignment horizontal="left"/>
    </xf>
    <xf numFmtId="0" fontId="4" fillId="0" borderId="0" xfId="0" applyFont="1"/>
    <xf numFmtId="0" fontId="1" fillId="0" borderId="1" xfId="0" applyFont="1" applyBorder="1"/>
    <xf numFmtId="0" fontId="4" fillId="0" borderId="0" xfId="0" applyFont="1" applyAlignment="1">
      <alignment horizontal="right"/>
    </xf>
    <xf numFmtId="0" fontId="1" fillId="0" borderId="1" xfId="0" applyFont="1" applyBorder="1" applyAlignment="1">
      <alignment horizontal="right"/>
    </xf>
    <xf numFmtId="167" fontId="1" fillId="0" borderId="1" xfId="1" applyNumberFormat="1" applyFont="1" applyBorder="1"/>
    <xf numFmtId="9" fontId="1" fillId="0" borderId="1" xfId="2" applyFont="1" applyBorder="1"/>
    <xf numFmtId="0" fontId="1" fillId="0" borderId="0" xfId="0" applyFont="1" applyBorder="1" applyAlignment="1">
      <alignment vertical="top" wrapText="1"/>
    </xf>
    <xf numFmtId="0" fontId="1" fillId="0" borderId="0" xfId="0" applyFont="1" applyBorder="1" applyAlignment="1">
      <alignment wrapText="1"/>
    </xf>
    <xf numFmtId="0" fontId="1" fillId="0" borderId="0" xfId="0" applyFont="1" applyBorder="1"/>
    <xf numFmtId="0" fontId="4" fillId="3" borderId="0" xfId="0" applyFont="1" applyFill="1" applyBorder="1" applyAlignment="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 xfId="0" quotePrefix="1" applyFont="1" applyFill="1" applyBorder="1" applyAlignment="1">
      <alignment horizontal="center"/>
    </xf>
    <xf numFmtId="0" fontId="2" fillId="2" borderId="1" xfId="0" applyFont="1" applyFill="1" applyBorder="1" applyAlignment="1">
      <alignment horizontal="center"/>
    </xf>
    <xf numFmtId="0" fontId="4" fillId="3" borderId="0" xfId="0" applyFont="1" applyFill="1" applyBorder="1" applyAlignment="1">
      <alignment horizontal="left"/>
    </xf>
    <xf numFmtId="166" fontId="1" fillId="0" borderId="1" xfId="0" applyNumberFormat="1" applyFont="1" applyBorder="1" applyAlignment="1">
      <alignment horizontal="right"/>
    </xf>
    <xf numFmtId="168" fontId="1" fillId="4" borderId="1" xfId="2" applyNumberFormat="1" applyFont="1" applyFill="1" applyBorder="1"/>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167" fontId="1" fillId="0" borderId="0" xfId="0" applyNumberFormat="1" applyFont="1"/>
    <xf numFmtId="169" fontId="1" fillId="4" borderId="1" xfId="0" applyNumberFormat="1" applyFont="1" applyFill="1" applyBorder="1"/>
  </cellXfs>
  <cellStyles count="3">
    <cellStyle name="Currency" xfId="1" builtinId="4"/>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2"/>
  <sheetViews>
    <sheetView showGridLines="0" tabSelected="1" zoomScale="125" workbookViewId="0">
      <selection activeCell="L19" sqref="L19:L22"/>
    </sheetView>
  </sheetViews>
  <sheetFormatPr baseColWidth="10" defaultColWidth="8.6640625" defaultRowHeight="14" x14ac:dyDescent="0.15"/>
  <cols>
    <col min="1" max="2" width="8.5" style="1" customWidth="1"/>
    <col min="3" max="3" width="14.5" style="1" customWidth="1"/>
    <col min="4" max="4" width="11.1640625" style="1" customWidth="1"/>
    <col min="5" max="5" width="10.5" style="1" customWidth="1"/>
    <col min="6" max="6" width="3.1640625" style="1" customWidth="1"/>
    <col min="7" max="7" width="8.6640625" style="1"/>
    <col min="8" max="8" width="42.1640625" style="1" customWidth="1"/>
    <col min="9" max="9" width="11.33203125" style="1" bestFit="1" customWidth="1"/>
    <col min="10" max="10" width="14.83203125" style="1" bestFit="1" customWidth="1"/>
    <col min="11" max="11" width="12.5" style="1" bestFit="1" customWidth="1"/>
    <col min="12" max="12" width="62.1640625" style="1" customWidth="1"/>
    <col min="13" max="16384" width="8.6640625" style="1"/>
  </cols>
  <sheetData>
    <row r="1" spans="1:13" ht="14.5" customHeight="1" x14ac:dyDescent="0.15">
      <c r="A1" s="23" t="s">
        <v>0</v>
      </c>
      <c r="B1" s="22" t="s">
        <v>1</v>
      </c>
      <c r="C1" s="24" t="s">
        <v>23</v>
      </c>
      <c r="D1" s="25" t="s">
        <v>2</v>
      </c>
      <c r="E1" s="26"/>
    </row>
    <row r="2" spans="1:13" x14ac:dyDescent="0.15">
      <c r="A2" s="23"/>
      <c r="B2" s="22"/>
      <c r="C2" s="24"/>
      <c r="D2" s="5">
        <v>2016</v>
      </c>
      <c r="E2" s="3">
        <v>2017</v>
      </c>
      <c r="H2" s="27" t="s">
        <v>20</v>
      </c>
      <c r="I2" s="27"/>
      <c r="J2" s="27"/>
      <c r="L2" s="18" t="s">
        <v>21</v>
      </c>
    </row>
    <row r="3" spans="1:13" x14ac:dyDescent="0.15">
      <c r="A3" s="2">
        <v>1</v>
      </c>
      <c r="B3" s="2">
        <v>1</v>
      </c>
      <c r="C3" s="2">
        <v>160</v>
      </c>
      <c r="D3" s="4">
        <v>9</v>
      </c>
      <c r="E3" s="4">
        <v>4</v>
      </c>
      <c r="H3" s="6"/>
      <c r="I3" s="7"/>
      <c r="J3" s="7"/>
      <c r="K3" s="7"/>
      <c r="L3" s="8"/>
      <c r="M3" s="8"/>
    </row>
    <row r="4" spans="1:13" x14ac:dyDescent="0.15">
      <c r="A4" s="2">
        <v>2</v>
      </c>
      <c r="B4" s="2">
        <v>1</v>
      </c>
      <c r="C4" s="2">
        <v>127</v>
      </c>
      <c r="D4" s="4">
        <v>9</v>
      </c>
      <c r="E4" s="4">
        <v>9</v>
      </c>
      <c r="H4" s="9" t="s">
        <v>3</v>
      </c>
      <c r="I4" s="9">
        <v>2016</v>
      </c>
      <c r="J4" s="9">
        <v>2017</v>
      </c>
      <c r="L4" s="15"/>
      <c r="M4" s="15"/>
    </row>
    <row r="5" spans="1:13" ht="14" customHeight="1" x14ac:dyDescent="0.15">
      <c r="A5" s="2">
        <v>3</v>
      </c>
      <c r="B5" s="2">
        <v>2</v>
      </c>
      <c r="C5" s="2">
        <v>198</v>
      </c>
      <c r="D5" s="4">
        <v>5</v>
      </c>
      <c r="E5" s="4">
        <v>3</v>
      </c>
      <c r="H5" s="1" t="s">
        <v>4</v>
      </c>
      <c r="I5" s="28">
        <f>COUNTIF(D3:D102, "&gt;=0")</f>
        <v>100</v>
      </c>
      <c r="J5" s="28">
        <f>COUNTIF(E3:E102, "&gt;=0")</f>
        <v>90</v>
      </c>
      <c r="L5" s="19" t="s">
        <v>29</v>
      </c>
      <c r="M5" s="15"/>
    </row>
    <row r="6" spans="1:13" x14ac:dyDescent="0.15">
      <c r="A6" s="2">
        <v>4</v>
      </c>
      <c r="B6" s="2">
        <v>2</v>
      </c>
      <c r="C6" s="2">
        <v>144</v>
      </c>
      <c r="D6" s="4">
        <v>7</v>
      </c>
      <c r="E6" s="4">
        <v>7</v>
      </c>
      <c r="H6" s="1" t="s">
        <v>5</v>
      </c>
      <c r="I6" s="10">
        <f>COUNTIF($D$3:$D$102,"&gt;=9")</f>
        <v>35</v>
      </c>
      <c r="J6" s="10">
        <f>COUNTIF($E$3:$E$102,"&gt;=9")</f>
        <v>34</v>
      </c>
      <c r="L6" s="20"/>
      <c r="M6" s="15"/>
    </row>
    <row r="7" spans="1:13" x14ac:dyDescent="0.15">
      <c r="A7" s="2">
        <v>5</v>
      </c>
      <c r="B7" s="2">
        <v>1</v>
      </c>
      <c r="C7" s="2">
        <v>0</v>
      </c>
      <c r="D7" s="4">
        <v>3</v>
      </c>
      <c r="E7" s="4"/>
      <c r="H7" s="1" t="s">
        <v>6</v>
      </c>
      <c r="I7" s="10">
        <f>COUNTIF($D$3:$D$102,"&gt;=9")</f>
        <v>35</v>
      </c>
      <c r="J7" s="10">
        <f>COUNTIF($E$3:$E$102, "&lt;=6")</f>
        <v>28</v>
      </c>
      <c r="L7" s="20"/>
      <c r="M7" s="15"/>
    </row>
    <row r="8" spans="1:13" x14ac:dyDescent="0.15">
      <c r="A8" s="2">
        <v>6</v>
      </c>
      <c r="B8" s="2">
        <v>1</v>
      </c>
      <c r="C8" s="2">
        <v>160</v>
      </c>
      <c r="D8" s="4">
        <v>7</v>
      </c>
      <c r="E8" s="4">
        <v>7</v>
      </c>
      <c r="H8" s="1" t="s">
        <v>7</v>
      </c>
      <c r="I8" s="29">
        <f>(I6/100)- (I7/100)</f>
        <v>0</v>
      </c>
      <c r="J8" s="29">
        <f>(J6/90)- (J7/90)</f>
        <v>6.6666666666666652E-2</v>
      </c>
      <c r="L8" s="21"/>
      <c r="M8" s="15"/>
    </row>
    <row r="9" spans="1:13" x14ac:dyDescent="0.15">
      <c r="A9" s="2">
        <v>7</v>
      </c>
      <c r="B9" s="2">
        <v>1</v>
      </c>
      <c r="C9" s="2">
        <v>113</v>
      </c>
      <c r="D9" s="4">
        <v>8</v>
      </c>
      <c r="E9" s="4">
        <v>8</v>
      </c>
      <c r="L9" s="17"/>
      <c r="M9" s="17"/>
    </row>
    <row r="10" spans="1:13" ht="14.5" customHeight="1" x14ac:dyDescent="0.15">
      <c r="A10" s="2">
        <v>8</v>
      </c>
      <c r="B10" s="2">
        <v>2</v>
      </c>
      <c r="C10" s="2">
        <v>169</v>
      </c>
      <c r="D10" s="4">
        <v>8</v>
      </c>
      <c r="E10" s="4">
        <v>7</v>
      </c>
      <c r="L10" s="17"/>
      <c r="M10" s="17"/>
    </row>
    <row r="11" spans="1:13" x14ac:dyDescent="0.15">
      <c r="A11" s="2">
        <v>9</v>
      </c>
      <c r="B11" s="2">
        <v>2</v>
      </c>
      <c r="C11" s="2">
        <v>144</v>
      </c>
      <c r="D11" s="4">
        <v>7</v>
      </c>
      <c r="E11" s="4">
        <v>7</v>
      </c>
      <c r="H11" s="9" t="s">
        <v>22</v>
      </c>
      <c r="I11" s="11" t="s">
        <v>8</v>
      </c>
      <c r="J11" s="11" t="s">
        <v>9</v>
      </c>
      <c r="K11" s="11"/>
      <c r="L11" s="15"/>
      <c r="M11" s="15"/>
    </row>
    <row r="12" spans="1:13" ht="14" customHeight="1" x14ac:dyDescent="0.15">
      <c r="A12" s="2">
        <v>10</v>
      </c>
      <c r="B12" s="2">
        <v>2</v>
      </c>
      <c r="C12" s="2">
        <v>248</v>
      </c>
      <c r="D12" s="4">
        <v>1</v>
      </c>
      <c r="E12" s="4">
        <v>3</v>
      </c>
      <c r="H12" s="1" t="s">
        <v>4</v>
      </c>
      <c r="I12" s="10">
        <f>COUNTIFS($C$3:$C$102, "=0",$B$3:$B$102, "=1")</f>
        <v>3</v>
      </c>
      <c r="J12" s="10">
        <f>COUNTIFS($C$3:$C$102, "=0",$B$3:$B$102, "=2")</f>
        <v>7</v>
      </c>
      <c r="L12" s="19" t="s">
        <v>30</v>
      </c>
      <c r="M12" s="15"/>
    </row>
    <row r="13" spans="1:13" ht="14" customHeight="1" x14ac:dyDescent="0.15">
      <c r="A13" s="2">
        <v>11</v>
      </c>
      <c r="B13" s="2">
        <v>1</v>
      </c>
      <c r="C13" s="2">
        <v>88</v>
      </c>
      <c r="D13" s="4">
        <v>3</v>
      </c>
      <c r="E13" s="4">
        <v>3</v>
      </c>
      <c r="H13" s="1" t="s">
        <v>5</v>
      </c>
      <c r="I13" s="10">
        <f>COUNTIFS($C$3:$C$102, "=0",$B$3:$B$102, "=1", $D$3:$D$102, "&gt;=9")</f>
        <v>0</v>
      </c>
      <c r="J13" s="10">
        <f>COUNTIFS($C$3:$C$102, "=0",$B$3:$B$102, "=2", $D$3:$D$102, "&gt;=9")</f>
        <v>0</v>
      </c>
      <c r="L13" s="20"/>
      <c r="M13" s="15"/>
    </row>
    <row r="14" spans="1:13" x14ac:dyDescent="0.15">
      <c r="A14" s="2">
        <v>12</v>
      </c>
      <c r="B14" s="2">
        <v>2</v>
      </c>
      <c r="C14" s="2">
        <v>192</v>
      </c>
      <c r="D14" s="4">
        <v>10</v>
      </c>
      <c r="E14" s="4">
        <v>9</v>
      </c>
      <c r="H14" s="1" t="s">
        <v>10</v>
      </c>
      <c r="I14" s="10">
        <f>COUNTIFS($C$3:$C$102, "=0",$B$3:$B$102, "=1", $D$3:$D$102, "&lt;9", $D$3:$D$102, "&gt;6")</f>
        <v>0</v>
      </c>
      <c r="J14" s="10">
        <f>COUNTIFS($C$3:$C$102, "=0",$B$3:$B$102, "=2", $D$3:$D$102, "&lt;9", $D$3:$D$102, "&gt;6")</f>
        <v>2</v>
      </c>
      <c r="L14" s="20"/>
      <c r="M14" s="15"/>
    </row>
    <row r="15" spans="1:13" x14ac:dyDescent="0.15">
      <c r="A15" s="2">
        <v>13</v>
      </c>
      <c r="B15" s="2">
        <v>1</v>
      </c>
      <c r="C15" s="2">
        <v>152</v>
      </c>
      <c r="D15" s="4">
        <v>8</v>
      </c>
      <c r="E15" s="4">
        <v>8</v>
      </c>
      <c r="H15" s="1" t="s">
        <v>6</v>
      </c>
      <c r="I15" s="10">
        <f>COUNTIFS($C$3:$C$102, "=0",$B$3:$B$102, "=1", $D$3:$D$102, "&lt;7")</f>
        <v>3</v>
      </c>
      <c r="J15" s="10">
        <f>COUNTIFS($C$3:$C$102, "=0",$B$3:$B$102, "=2", $D$3:$D$102, "&lt;7")</f>
        <v>5</v>
      </c>
      <c r="L15" s="21"/>
      <c r="M15" s="15"/>
    </row>
    <row r="16" spans="1:13" x14ac:dyDescent="0.15">
      <c r="A16" s="2">
        <v>14</v>
      </c>
      <c r="B16" s="2">
        <v>2</v>
      </c>
      <c r="C16" s="2">
        <v>241</v>
      </c>
      <c r="D16" s="4">
        <v>10</v>
      </c>
      <c r="E16" s="4">
        <v>10</v>
      </c>
      <c r="L16" s="17"/>
      <c r="M16" s="17"/>
    </row>
    <row r="17" spans="1:13" x14ac:dyDescent="0.15">
      <c r="A17" s="2">
        <v>15</v>
      </c>
      <c r="B17" s="2">
        <v>2</v>
      </c>
      <c r="C17" s="2">
        <v>142</v>
      </c>
      <c r="D17" s="4">
        <v>9</v>
      </c>
      <c r="E17" s="4">
        <v>9</v>
      </c>
      <c r="L17" s="17"/>
      <c r="M17" s="17"/>
    </row>
    <row r="18" spans="1:13" x14ac:dyDescent="0.15">
      <c r="A18" s="2">
        <v>16</v>
      </c>
      <c r="B18" s="2">
        <v>1</v>
      </c>
      <c r="C18" s="2">
        <v>139</v>
      </c>
      <c r="D18" s="4">
        <v>5</v>
      </c>
      <c r="E18" s="4">
        <v>6</v>
      </c>
      <c r="H18" s="9" t="s">
        <v>11</v>
      </c>
      <c r="I18" s="9">
        <v>2016</v>
      </c>
      <c r="J18" s="9">
        <v>2017</v>
      </c>
      <c r="L18" s="16"/>
      <c r="M18" s="16"/>
    </row>
    <row r="19" spans="1:13" ht="14" customHeight="1" x14ac:dyDescent="0.15">
      <c r="A19" s="2">
        <v>17</v>
      </c>
      <c r="B19" s="2">
        <v>2</v>
      </c>
      <c r="C19" s="2">
        <v>0</v>
      </c>
      <c r="D19" s="4">
        <v>3</v>
      </c>
      <c r="E19" s="4"/>
      <c r="H19" s="1" t="s">
        <v>4</v>
      </c>
      <c r="I19" s="10">
        <f>COUNTIFS($D$3:$D$102, "&gt;=0", $E$3:$E$102, "&gt;=0")</f>
        <v>90</v>
      </c>
      <c r="J19" s="10">
        <v>90</v>
      </c>
      <c r="L19" s="19" t="s">
        <v>25</v>
      </c>
      <c r="M19" s="15"/>
    </row>
    <row r="20" spans="1:13" x14ac:dyDescent="0.15">
      <c r="A20" s="2">
        <v>18</v>
      </c>
      <c r="B20" s="2">
        <v>2</v>
      </c>
      <c r="C20" s="2">
        <v>229</v>
      </c>
      <c r="D20" s="4">
        <v>10</v>
      </c>
      <c r="E20" s="4">
        <v>10</v>
      </c>
      <c r="H20" s="1" t="s">
        <v>5</v>
      </c>
      <c r="I20" s="10">
        <f>COUNTIFS($D$3:$D$102, "&gt;=9", $E$3:$E$102, "&gt;=0")</f>
        <v>35</v>
      </c>
      <c r="J20" s="10">
        <f>COUNTIFS($D$3:$D$102, "&gt;=0", $E$3:$E$102, "&gt;=9")</f>
        <v>34</v>
      </c>
      <c r="L20" s="20"/>
      <c r="M20" s="15"/>
    </row>
    <row r="21" spans="1:13" x14ac:dyDescent="0.15">
      <c r="A21" s="2">
        <v>19</v>
      </c>
      <c r="B21" s="2">
        <v>2</v>
      </c>
      <c r="C21" s="2">
        <v>204</v>
      </c>
      <c r="D21" s="4">
        <v>7</v>
      </c>
      <c r="E21" s="4">
        <v>7</v>
      </c>
      <c r="H21" s="1" t="s">
        <v>6</v>
      </c>
      <c r="I21" s="10">
        <f>COUNTIFS($D$3:$D$102, "&lt;7", $E$3:$E$102, "&gt;=0")</f>
        <v>27</v>
      </c>
      <c r="J21" s="10">
        <f>COUNTIFS($D$3:$D$102, "&gt;=0", $E$3:$E$102, "&lt;7")</f>
        <v>28</v>
      </c>
      <c r="L21" s="20"/>
      <c r="M21" s="15"/>
    </row>
    <row r="22" spans="1:13" x14ac:dyDescent="0.15">
      <c r="A22" s="2">
        <v>20</v>
      </c>
      <c r="B22" s="2">
        <v>2</v>
      </c>
      <c r="C22" s="2">
        <v>234</v>
      </c>
      <c r="D22" s="4">
        <v>9</v>
      </c>
      <c r="E22" s="4">
        <v>9</v>
      </c>
      <c r="H22" s="1" t="s">
        <v>7</v>
      </c>
      <c r="I22" s="29">
        <f>(I20-I21)/I19</f>
        <v>8.8888888888888892E-2</v>
      </c>
      <c r="J22" s="29">
        <f>(J20-J21)/J19</f>
        <v>6.6666666666666666E-2</v>
      </c>
      <c r="L22" s="21"/>
      <c r="M22" s="15"/>
    </row>
    <row r="23" spans="1:13" x14ac:dyDescent="0.15">
      <c r="A23" s="2">
        <v>21</v>
      </c>
      <c r="B23" s="2">
        <v>1</v>
      </c>
      <c r="C23" s="2">
        <v>99</v>
      </c>
      <c r="D23" s="4">
        <v>8</v>
      </c>
      <c r="E23" s="4">
        <v>7</v>
      </c>
      <c r="L23" s="17"/>
      <c r="M23" s="17"/>
    </row>
    <row r="24" spans="1:13" x14ac:dyDescent="0.15">
      <c r="A24" s="2">
        <v>22</v>
      </c>
      <c r="B24" s="2">
        <v>2</v>
      </c>
      <c r="C24" s="2">
        <v>135</v>
      </c>
      <c r="D24" s="4">
        <v>7</v>
      </c>
      <c r="E24" s="4">
        <v>7</v>
      </c>
      <c r="L24" s="17"/>
      <c r="M24" s="17"/>
    </row>
    <row r="25" spans="1:13" x14ac:dyDescent="0.15">
      <c r="A25" s="2">
        <v>23</v>
      </c>
      <c r="B25" s="2">
        <v>2</v>
      </c>
      <c r="C25" s="2">
        <v>214</v>
      </c>
      <c r="D25" s="4">
        <v>8</v>
      </c>
      <c r="E25" s="4">
        <v>8</v>
      </c>
      <c r="H25" s="9" t="s">
        <v>12</v>
      </c>
      <c r="I25" s="9">
        <v>2016</v>
      </c>
      <c r="J25" s="9">
        <v>2017</v>
      </c>
      <c r="L25" s="15"/>
      <c r="M25" s="15"/>
    </row>
    <row r="26" spans="1:13" ht="14" customHeight="1" x14ac:dyDescent="0.15">
      <c r="A26" s="2">
        <v>24</v>
      </c>
      <c r="B26" s="2">
        <v>1</v>
      </c>
      <c r="C26" s="2">
        <v>134</v>
      </c>
      <c r="D26" s="4">
        <v>9</v>
      </c>
      <c r="E26" s="4">
        <v>10</v>
      </c>
      <c r="H26" s="1" t="s">
        <v>4</v>
      </c>
      <c r="I26" s="10">
        <f>COUNTIFS($B$3:$B$102, "=1", $D$3:$D$102, "&gt;=0", $E$3:$E$102, "&gt;=0")</f>
        <v>39</v>
      </c>
      <c r="J26" s="10">
        <f>COUNTIFS($B$3:$B$102, "=1", $D$3:$D$102, "&gt;=0", $E$3:$E$102, "&gt;=0")</f>
        <v>39</v>
      </c>
      <c r="L26" s="19" t="s">
        <v>26</v>
      </c>
      <c r="M26" s="15"/>
    </row>
    <row r="27" spans="1:13" x14ac:dyDescent="0.15">
      <c r="A27" s="2">
        <v>25</v>
      </c>
      <c r="B27" s="2">
        <v>2</v>
      </c>
      <c r="C27" s="2">
        <v>150</v>
      </c>
      <c r="D27" s="4">
        <v>8</v>
      </c>
      <c r="E27" s="4">
        <v>8</v>
      </c>
      <c r="H27" s="1" t="s">
        <v>5</v>
      </c>
      <c r="I27" s="10">
        <f>COUNTIFS($B$3:$B$102, "=1", $D$3:$D$102, "&gt;=9", $E$3:$E$102, "&gt;=0")</f>
        <v>15</v>
      </c>
      <c r="J27" s="10">
        <f>COUNTIFS($B$3:$B$102, "=1", $D$3:$D$102, "&gt;=0", $E$3:$E$102, "&gt;=9")</f>
        <v>14</v>
      </c>
      <c r="L27" s="20"/>
      <c r="M27" s="15"/>
    </row>
    <row r="28" spans="1:13" x14ac:dyDescent="0.15">
      <c r="A28" s="2">
        <v>26</v>
      </c>
      <c r="B28" s="2">
        <v>2</v>
      </c>
      <c r="C28" s="2">
        <v>216</v>
      </c>
      <c r="D28" s="4">
        <v>7</v>
      </c>
      <c r="E28" s="4">
        <v>7</v>
      </c>
      <c r="H28" s="1" t="s">
        <v>6</v>
      </c>
      <c r="I28" s="10">
        <f>COUNTIFS($B$3:$B$102, "=1", $D$3:$D$102, "&lt;7", $E$3:$E$102, "&gt;=0")</f>
        <v>14</v>
      </c>
      <c r="J28" s="10">
        <f>COUNTIFS($B$3:$B$102, "=1", $D$3:$D$102, "&gt;=0", $E$3:$E$102, "&lt;7")</f>
        <v>15</v>
      </c>
      <c r="L28" s="20"/>
      <c r="M28" s="15"/>
    </row>
    <row r="29" spans="1:13" x14ac:dyDescent="0.15">
      <c r="A29" s="2">
        <v>27</v>
      </c>
      <c r="B29" s="2">
        <v>2</v>
      </c>
      <c r="C29" s="2">
        <v>232</v>
      </c>
      <c r="D29" s="4">
        <v>9</v>
      </c>
      <c r="E29" s="4">
        <v>9</v>
      </c>
      <c r="H29" s="1" t="s">
        <v>7</v>
      </c>
      <c r="I29" s="29">
        <f>(I27-I28)/I26</f>
        <v>2.564102564102564E-2</v>
      </c>
      <c r="J29" s="29">
        <f>(J27-J28)/J26</f>
        <v>-2.564102564102564E-2</v>
      </c>
      <c r="L29" s="21"/>
      <c r="M29" s="15"/>
    </row>
    <row r="30" spans="1:13" x14ac:dyDescent="0.15">
      <c r="A30" s="2">
        <v>28</v>
      </c>
      <c r="B30" s="2">
        <v>1</v>
      </c>
      <c r="C30" s="2">
        <v>84</v>
      </c>
      <c r="D30" s="4">
        <v>10</v>
      </c>
      <c r="E30" s="4">
        <v>9</v>
      </c>
      <c r="L30" s="17"/>
      <c r="M30" s="17"/>
    </row>
    <row r="31" spans="1:13" x14ac:dyDescent="0.15">
      <c r="A31" s="2">
        <v>29</v>
      </c>
      <c r="B31" s="2">
        <v>2</v>
      </c>
      <c r="C31" s="2">
        <v>220</v>
      </c>
      <c r="D31" s="4">
        <v>10</v>
      </c>
      <c r="E31" s="4">
        <v>10</v>
      </c>
      <c r="L31" s="17"/>
      <c r="M31" s="17"/>
    </row>
    <row r="32" spans="1:13" x14ac:dyDescent="0.15">
      <c r="A32" s="2">
        <v>30</v>
      </c>
      <c r="B32" s="2">
        <v>2</v>
      </c>
      <c r="C32" s="2">
        <v>207</v>
      </c>
      <c r="D32" s="4">
        <v>9</v>
      </c>
      <c r="E32" s="4">
        <v>9</v>
      </c>
      <c r="H32" s="9" t="s">
        <v>13</v>
      </c>
      <c r="I32" s="9">
        <v>2016</v>
      </c>
      <c r="J32" s="9">
        <v>2017</v>
      </c>
      <c r="L32" s="15"/>
      <c r="M32" s="15"/>
    </row>
    <row r="33" spans="1:13" ht="14" customHeight="1" x14ac:dyDescent="0.15">
      <c r="A33" s="2">
        <v>31</v>
      </c>
      <c r="B33" s="2">
        <v>1</v>
      </c>
      <c r="C33" s="2">
        <v>131</v>
      </c>
      <c r="D33" s="4">
        <v>5</v>
      </c>
      <c r="E33" s="4">
        <v>5</v>
      </c>
      <c r="H33" s="1" t="s">
        <v>4</v>
      </c>
      <c r="I33" s="10">
        <f>COUNTIFS($B$3:$B$102, "=2", $D$3:$D$102, "&gt;=0", $E$3:$E$102, "&gt;=0")</f>
        <v>51</v>
      </c>
      <c r="J33" s="10">
        <f>COUNTIFS($B$3:$B$102, "=2", $D$3:$D$102, "&gt;=0", $E$3:$E$102, "&gt;=0")</f>
        <v>51</v>
      </c>
      <c r="L33" s="19" t="s">
        <v>27</v>
      </c>
      <c r="M33" s="15"/>
    </row>
    <row r="34" spans="1:13" x14ac:dyDescent="0.15">
      <c r="A34" s="2">
        <v>32</v>
      </c>
      <c r="B34" s="2">
        <v>2</v>
      </c>
      <c r="C34" s="2">
        <v>0</v>
      </c>
      <c r="D34" s="4">
        <v>1</v>
      </c>
      <c r="E34" s="4"/>
      <c r="H34" s="1" t="s">
        <v>5</v>
      </c>
      <c r="I34" s="10">
        <f>COUNTIFS($B$3:$B$102, "=2", $D$3:$D$102, "&gt;=9", $E$3:$E$102, "&gt;=0")</f>
        <v>20</v>
      </c>
      <c r="J34" s="10">
        <f>COUNTIFS($B$3:$B$102, "=2", $D$3:$D$102, "&gt;=0", $E$3:$E$102, "&gt;=9")</f>
        <v>20</v>
      </c>
      <c r="L34" s="20"/>
      <c r="M34" s="15"/>
    </row>
    <row r="35" spans="1:13" x14ac:dyDescent="0.15">
      <c r="A35" s="2">
        <v>33</v>
      </c>
      <c r="B35" s="2">
        <v>2</v>
      </c>
      <c r="C35" s="2">
        <v>0</v>
      </c>
      <c r="D35" s="4">
        <v>0</v>
      </c>
      <c r="E35" s="4"/>
      <c r="H35" s="1" t="s">
        <v>6</v>
      </c>
      <c r="I35" s="10">
        <f>COUNTIFS($B$3:$B$102, "=2", $D$3:$D$102, "&lt;7", $E$3:$E$102, "&gt;=0")</f>
        <v>13</v>
      </c>
      <c r="J35" s="10">
        <f>COUNTIFS($B$3:$B$102, "=2", $D$3:$D$102, "&gt;=0", $E$3:$E$102, "&lt;7")</f>
        <v>13</v>
      </c>
      <c r="L35" s="20"/>
      <c r="M35" s="15"/>
    </row>
    <row r="36" spans="1:13" x14ac:dyDescent="0.15">
      <c r="A36" s="2">
        <v>34</v>
      </c>
      <c r="B36" s="2">
        <v>2</v>
      </c>
      <c r="C36" s="2">
        <v>205</v>
      </c>
      <c r="D36" s="4">
        <v>7</v>
      </c>
      <c r="E36" s="4">
        <v>7</v>
      </c>
      <c r="H36" s="1" t="s">
        <v>7</v>
      </c>
      <c r="I36" s="29">
        <f>(I34-I35)/I33</f>
        <v>0.13725490196078433</v>
      </c>
      <c r="J36" s="29">
        <f>(J34-J35)/J33</f>
        <v>0.13725490196078433</v>
      </c>
      <c r="L36" s="20"/>
      <c r="M36" s="15"/>
    </row>
    <row r="37" spans="1:13" x14ac:dyDescent="0.15">
      <c r="A37" s="2">
        <v>35</v>
      </c>
      <c r="B37" s="2">
        <v>1</v>
      </c>
      <c r="C37" s="2">
        <v>193</v>
      </c>
      <c r="D37" s="4">
        <v>5</v>
      </c>
      <c r="E37" s="4">
        <v>1</v>
      </c>
      <c r="L37" s="21"/>
      <c r="M37" s="17"/>
    </row>
    <row r="38" spans="1:13" x14ac:dyDescent="0.15">
      <c r="A38" s="2">
        <v>36</v>
      </c>
      <c r="B38" s="2">
        <v>1</v>
      </c>
      <c r="C38" s="2">
        <v>112</v>
      </c>
      <c r="D38" s="4">
        <v>9</v>
      </c>
      <c r="E38" s="4">
        <v>9</v>
      </c>
      <c r="L38" s="17"/>
      <c r="M38" s="17"/>
    </row>
    <row r="39" spans="1:13" x14ac:dyDescent="0.15">
      <c r="A39" s="2">
        <v>37</v>
      </c>
      <c r="B39" s="2">
        <v>2</v>
      </c>
      <c r="C39" s="2">
        <v>131</v>
      </c>
      <c r="D39" s="4">
        <v>7</v>
      </c>
      <c r="E39" s="4">
        <v>7</v>
      </c>
      <c r="H39" s="9" t="s">
        <v>24</v>
      </c>
      <c r="I39" s="11" t="s">
        <v>14</v>
      </c>
      <c r="J39" s="11" t="s">
        <v>15</v>
      </c>
      <c r="L39" s="17"/>
      <c r="M39" s="17"/>
    </row>
    <row r="40" spans="1:13" ht="14" customHeight="1" x14ac:dyDescent="0.15">
      <c r="A40" s="2">
        <v>38</v>
      </c>
      <c r="B40" s="2">
        <v>2</v>
      </c>
      <c r="C40" s="2">
        <v>128</v>
      </c>
      <c r="D40" s="4">
        <v>5</v>
      </c>
      <c r="E40" s="4">
        <v>6</v>
      </c>
      <c r="H40" s="1" t="s">
        <v>4</v>
      </c>
      <c r="I40" s="12">
        <f>J26</f>
        <v>39</v>
      </c>
      <c r="J40" s="10">
        <f>COUNTIFS($B$3:$B$102, "=2", $D$3:$D$102, "&gt;=0", $E$3:$E$102, "&gt;=0")</f>
        <v>51</v>
      </c>
      <c r="L40" s="30" t="s">
        <v>28</v>
      </c>
      <c r="M40" s="17"/>
    </row>
    <row r="41" spans="1:13" x14ac:dyDescent="0.15">
      <c r="A41" s="2">
        <v>39</v>
      </c>
      <c r="B41" s="2">
        <v>2</v>
      </c>
      <c r="C41" s="2">
        <v>195</v>
      </c>
      <c r="D41" s="4">
        <v>2</v>
      </c>
      <c r="E41" s="4">
        <v>1</v>
      </c>
      <c r="H41" s="1" t="s">
        <v>16</v>
      </c>
      <c r="I41" s="13">
        <f>SUMIF($B$3:$B$102, "=1", $C$3:$C$102)*1000</f>
        <v>5330000</v>
      </c>
      <c r="J41" s="13">
        <f>SUMIF($B$3:$B$102, "=2", $C$3:$C$102)*1000</f>
        <v>9462000</v>
      </c>
      <c r="K41" s="33">
        <f>I41+J41</f>
        <v>14792000</v>
      </c>
      <c r="L41" s="31"/>
      <c r="M41" s="17"/>
    </row>
    <row r="42" spans="1:13" x14ac:dyDescent="0.15">
      <c r="A42" s="2">
        <v>40</v>
      </c>
      <c r="B42" s="2">
        <v>2</v>
      </c>
      <c r="C42" s="2">
        <v>194</v>
      </c>
      <c r="D42" s="4">
        <v>6</v>
      </c>
      <c r="E42" s="4">
        <v>1</v>
      </c>
      <c r="H42" s="1" t="s">
        <v>17</v>
      </c>
      <c r="I42" s="14">
        <f>I40/90</f>
        <v>0.43333333333333335</v>
      </c>
      <c r="J42" s="14">
        <f>J40/90</f>
        <v>0.56666666666666665</v>
      </c>
      <c r="L42" s="31"/>
      <c r="M42" s="17"/>
    </row>
    <row r="43" spans="1:13" x14ac:dyDescent="0.15">
      <c r="A43" s="2">
        <v>41</v>
      </c>
      <c r="B43" s="2">
        <v>1</v>
      </c>
      <c r="C43" s="2">
        <v>149</v>
      </c>
      <c r="D43" s="4">
        <v>9</v>
      </c>
      <c r="E43" s="4">
        <v>9</v>
      </c>
      <c r="H43" s="1" t="s">
        <v>18</v>
      </c>
      <c r="I43" s="14">
        <f>I41/($I$41+$J$41)</f>
        <v>0.36032990805840998</v>
      </c>
      <c r="J43" s="14">
        <f>J41/($I$41+$J$41)</f>
        <v>0.63967009194159008</v>
      </c>
      <c r="L43" s="31"/>
      <c r="M43" s="17"/>
    </row>
    <row r="44" spans="1:13" x14ac:dyDescent="0.15">
      <c r="A44" s="2">
        <v>42</v>
      </c>
      <c r="B44" s="2">
        <v>1</v>
      </c>
      <c r="C44" s="2">
        <v>149</v>
      </c>
      <c r="D44" s="4">
        <v>7</v>
      </c>
      <c r="E44" s="4">
        <v>8</v>
      </c>
      <c r="H44" s="1" t="s">
        <v>19</v>
      </c>
      <c r="I44" s="34">
        <f>I41/I40</f>
        <v>136666.66666666666</v>
      </c>
      <c r="J44" s="34">
        <f>J41/J40</f>
        <v>185529.41176470587</v>
      </c>
      <c r="L44" s="31"/>
      <c r="M44" s="15"/>
    </row>
    <row r="45" spans="1:13" x14ac:dyDescent="0.15">
      <c r="A45" s="2">
        <v>43</v>
      </c>
      <c r="B45" s="2">
        <v>2</v>
      </c>
      <c r="C45" s="2">
        <v>209</v>
      </c>
      <c r="D45" s="4">
        <v>7</v>
      </c>
      <c r="E45" s="4">
        <v>7</v>
      </c>
      <c r="L45" s="32"/>
      <c r="M45" s="17"/>
    </row>
    <row r="46" spans="1:13" x14ac:dyDescent="0.15">
      <c r="A46" s="2">
        <v>44</v>
      </c>
      <c r="B46" s="2">
        <v>2</v>
      </c>
      <c r="C46" s="2">
        <v>130</v>
      </c>
      <c r="D46" s="4">
        <v>3</v>
      </c>
      <c r="E46" s="4">
        <v>3</v>
      </c>
    </row>
    <row r="47" spans="1:13" x14ac:dyDescent="0.15">
      <c r="A47" s="2">
        <v>45</v>
      </c>
      <c r="B47" s="2">
        <v>1</v>
      </c>
      <c r="C47" s="2">
        <v>116</v>
      </c>
      <c r="D47" s="4">
        <v>1</v>
      </c>
      <c r="E47" s="4">
        <v>1</v>
      </c>
    </row>
    <row r="48" spans="1:13" x14ac:dyDescent="0.15">
      <c r="A48" s="2">
        <v>46</v>
      </c>
      <c r="B48" s="2">
        <v>1</v>
      </c>
      <c r="C48" s="2">
        <v>131</v>
      </c>
      <c r="D48" s="4">
        <v>8</v>
      </c>
      <c r="E48" s="4">
        <v>7</v>
      </c>
    </row>
    <row r="49" spans="1:5" x14ac:dyDescent="0.15">
      <c r="A49" s="2">
        <v>47</v>
      </c>
      <c r="B49" s="2">
        <v>2</v>
      </c>
      <c r="C49" s="2">
        <v>228</v>
      </c>
      <c r="D49" s="4">
        <v>5</v>
      </c>
      <c r="E49" s="4">
        <v>4</v>
      </c>
    </row>
    <row r="50" spans="1:5" x14ac:dyDescent="0.15">
      <c r="A50" s="2">
        <v>48</v>
      </c>
      <c r="B50" s="2">
        <v>1</v>
      </c>
      <c r="C50" s="2">
        <v>132</v>
      </c>
      <c r="D50" s="4">
        <v>9</v>
      </c>
      <c r="E50" s="4">
        <v>9</v>
      </c>
    </row>
    <row r="51" spans="1:5" x14ac:dyDescent="0.15">
      <c r="A51" s="2">
        <v>49</v>
      </c>
      <c r="B51" s="2">
        <v>1</v>
      </c>
      <c r="C51" s="2">
        <v>196</v>
      </c>
      <c r="D51" s="4">
        <v>9</v>
      </c>
      <c r="E51" s="4">
        <v>10</v>
      </c>
    </row>
    <row r="52" spans="1:5" x14ac:dyDescent="0.15">
      <c r="A52" s="2">
        <v>50</v>
      </c>
      <c r="B52" s="2">
        <v>1</v>
      </c>
      <c r="C52" s="2">
        <v>176</v>
      </c>
      <c r="D52" s="4">
        <v>10</v>
      </c>
      <c r="E52" s="4">
        <v>10</v>
      </c>
    </row>
    <row r="53" spans="1:5" x14ac:dyDescent="0.15">
      <c r="A53" s="2">
        <v>51</v>
      </c>
      <c r="B53" s="2">
        <v>2</v>
      </c>
      <c r="C53" s="2">
        <v>135</v>
      </c>
      <c r="D53" s="4">
        <v>9</v>
      </c>
      <c r="E53" s="4">
        <v>9</v>
      </c>
    </row>
    <row r="54" spans="1:5" x14ac:dyDescent="0.15">
      <c r="A54" s="2">
        <v>52</v>
      </c>
      <c r="B54" s="2">
        <v>1</v>
      </c>
      <c r="C54" s="2">
        <v>156</v>
      </c>
      <c r="D54" s="4">
        <v>5</v>
      </c>
      <c r="E54" s="4">
        <v>5</v>
      </c>
    </row>
    <row r="55" spans="1:5" x14ac:dyDescent="0.15">
      <c r="A55" s="2">
        <v>53</v>
      </c>
      <c r="B55" s="2">
        <v>1</v>
      </c>
      <c r="C55" s="2">
        <v>91</v>
      </c>
      <c r="D55" s="4">
        <v>6</v>
      </c>
      <c r="E55" s="4">
        <v>4</v>
      </c>
    </row>
    <row r="56" spans="1:5" x14ac:dyDescent="0.15">
      <c r="A56" s="2">
        <v>54</v>
      </c>
      <c r="B56" s="2">
        <v>1</v>
      </c>
      <c r="C56" s="2">
        <v>166</v>
      </c>
      <c r="D56" s="4">
        <v>8</v>
      </c>
      <c r="E56" s="4">
        <v>8</v>
      </c>
    </row>
    <row r="57" spans="1:5" x14ac:dyDescent="0.15">
      <c r="A57" s="2">
        <v>55</v>
      </c>
      <c r="B57" s="2">
        <v>1</v>
      </c>
      <c r="C57" s="2">
        <v>176</v>
      </c>
      <c r="D57" s="4">
        <v>9</v>
      </c>
      <c r="E57" s="4">
        <v>10</v>
      </c>
    </row>
    <row r="58" spans="1:5" x14ac:dyDescent="0.15">
      <c r="A58" s="2">
        <v>56</v>
      </c>
      <c r="B58" s="2">
        <v>2</v>
      </c>
      <c r="C58" s="2">
        <v>231</v>
      </c>
      <c r="D58" s="4">
        <v>7</v>
      </c>
      <c r="E58" s="4">
        <v>7</v>
      </c>
    </row>
    <row r="59" spans="1:5" x14ac:dyDescent="0.15">
      <c r="A59" s="2">
        <v>57</v>
      </c>
      <c r="B59" s="2">
        <v>2</v>
      </c>
      <c r="C59" s="2">
        <v>218</v>
      </c>
      <c r="D59" s="4">
        <v>9</v>
      </c>
      <c r="E59" s="4">
        <v>9</v>
      </c>
    </row>
    <row r="60" spans="1:5" x14ac:dyDescent="0.15">
      <c r="A60" s="2">
        <v>58</v>
      </c>
      <c r="B60" s="2">
        <v>2</v>
      </c>
      <c r="C60" s="2">
        <v>178</v>
      </c>
      <c r="D60" s="4">
        <v>1</v>
      </c>
      <c r="E60" s="4">
        <v>3</v>
      </c>
    </row>
    <row r="61" spans="1:5" x14ac:dyDescent="0.15">
      <c r="A61" s="2">
        <v>59</v>
      </c>
      <c r="B61" s="2">
        <v>1</v>
      </c>
      <c r="C61" s="2">
        <v>0</v>
      </c>
      <c r="D61" s="4">
        <v>0</v>
      </c>
      <c r="E61" s="4"/>
    </row>
    <row r="62" spans="1:5" x14ac:dyDescent="0.15">
      <c r="A62" s="2">
        <v>60</v>
      </c>
      <c r="B62" s="2">
        <v>1</v>
      </c>
      <c r="C62" s="2">
        <v>92</v>
      </c>
      <c r="D62" s="4">
        <v>7</v>
      </c>
      <c r="E62" s="4">
        <v>7</v>
      </c>
    </row>
    <row r="63" spans="1:5" x14ac:dyDescent="0.15">
      <c r="A63" s="2">
        <v>61</v>
      </c>
      <c r="B63" s="2">
        <v>2</v>
      </c>
      <c r="C63" s="2">
        <v>204</v>
      </c>
      <c r="D63" s="4">
        <v>9</v>
      </c>
      <c r="E63" s="4">
        <v>9</v>
      </c>
    </row>
    <row r="64" spans="1:5" x14ac:dyDescent="0.15">
      <c r="A64" s="2">
        <v>62</v>
      </c>
      <c r="B64" s="2">
        <v>2</v>
      </c>
      <c r="C64" s="2">
        <v>136</v>
      </c>
      <c r="D64" s="4">
        <v>3</v>
      </c>
      <c r="E64" s="4">
        <v>3</v>
      </c>
    </row>
    <row r="65" spans="1:5" x14ac:dyDescent="0.15">
      <c r="A65" s="2">
        <v>63</v>
      </c>
      <c r="B65" s="2">
        <v>2</v>
      </c>
      <c r="C65" s="2">
        <v>135</v>
      </c>
      <c r="D65" s="4">
        <v>9</v>
      </c>
      <c r="E65" s="4">
        <v>10</v>
      </c>
    </row>
    <row r="66" spans="1:5" x14ac:dyDescent="0.15">
      <c r="A66" s="2">
        <v>64</v>
      </c>
      <c r="B66" s="2">
        <v>1</v>
      </c>
      <c r="C66" s="2">
        <v>113</v>
      </c>
      <c r="D66" s="4">
        <v>10</v>
      </c>
      <c r="E66" s="4">
        <v>10</v>
      </c>
    </row>
    <row r="67" spans="1:5" x14ac:dyDescent="0.15">
      <c r="A67" s="2">
        <v>65</v>
      </c>
      <c r="B67" s="2">
        <v>1</v>
      </c>
      <c r="C67" s="2">
        <v>167</v>
      </c>
      <c r="D67" s="4">
        <v>9</v>
      </c>
      <c r="E67" s="4">
        <v>9</v>
      </c>
    </row>
    <row r="68" spans="1:5" x14ac:dyDescent="0.15">
      <c r="A68" s="2">
        <v>66</v>
      </c>
      <c r="B68" s="2">
        <v>1</v>
      </c>
      <c r="C68" s="2">
        <v>162</v>
      </c>
      <c r="D68" s="4">
        <v>5</v>
      </c>
      <c r="E68" s="4">
        <v>5</v>
      </c>
    </row>
    <row r="69" spans="1:5" x14ac:dyDescent="0.15">
      <c r="A69" s="2">
        <v>67</v>
      </c>
      <c r="B69" s="2">
        <v>2</v>
      </c>
      <c r="C69" s="2">
        <v>146</v>
      </c>
      <c r="D69" s="4">
        <v>0</v>
      </c>
      <c r="E69" s="4">
        <v>0</v>
      </c>
    </row>
    <row r="70" spans="1:5" x14ac:dyDescent="0.15">
      <c r="A70" s="2">
        <v>68</v>
      </c>
      <c r="B70" s="2">
        <v>2</v>
      </c>
      <c r="C70" s="2">
        <v>152</v>
      </c>
      <c r="D70" s="4">
        <v>7</v>
      </c>
      <c r="E70" s="4">
        <v>7</v>
      </c>
    </row>
    <row r="71" spans="1:5" x14ac:dyDescent="0.15">
      <c r="A71" s="2">
        <v>69</v>
      </c>
      <c r="B71" s="2">
        <v>2</v>
      </c>
      <c r="C71" s="2">
        <v>250</v>
      </c>
      <c r="D71" s="4">
        <v>7</v>
      </c>
      <c r="E71" s="4">
        <v>7</v>
      </c>
    </row>
    <row r="72" spans="1:5" x14ac:dyDescent="0.15">
      <c r="A72" s="2">
        <v>70</v>
      </c>
      <c r="B72" s="2">
        <v>2</v>
      </c>
      <c r="C72" s="2">
        <v>210</v>
      </c>
      <c r="D72" s="4">
        <v>8</v>
      </c>
      <c r="E72" s="4">
        <v>7</v>
      </c>
    </row>
    <row r="73" spans="1:5" x14ac:dyDescent="0.15">
      <c r="A73" s="2">
        <v>71</v>
      </c>
      <c r="B73" s="2">
        <v>2</v>
      </c>
      <c r="C73" s="2">
        <v>215</v>
      </c>
      <c r="D73" s="4">
        <v>9</v>
      </c>
      <c r="E73" s="4">
        <v>10</v>
      </c>
    </row>
    <row r="74" spans="1:5" x14ac:dyDescent="0.15">
      <c r="A74" s="2">
        <v>72</v>
      </c>
      <c r="B74" s="2">
        <v>1</v>
      </c>
      <c r="C74" s="2">
        <v>167</v>
      </c>
      <c r="D74" s="4">
        <v>8</v>
      </c>
      <c r="E74" s="4">
        <v>8</v>
      </c>
    </row>
    <row r="75" spans="1:5" x14ac:dyDescent="0.15">
      <c r="A75" s="2">
        <v>73</v>
      </c>
      <c r="B75" s="2">
        <v>1</v>
      </c>
      <c r="C75" s="2">
        <v>177</v>
      </c>
      <c r="D75" s="4">
        <v>9</v>
      </c>
      <c r="E75" s="4">
        <v>10</v>
      </c>
    </row>
    <row r="76" spans="1:5" x14ac:dyDescent="0.15">
      <c r="A76" s="2">
        <v>74</v>
      </c>
      <c r="B76" s="2">
        <v>2</v>
      </c>
      <c r="C76" s="2">
        <v>233</v>
      </c>
      <c r="D76" s="4">
        <v>7</v>
      </c>
      <c r="E76" s="4">
        <v>7</v>
      </c>
    </row>
    <row r="77" spans="1:5" x14ac:dyDescent="0.15">
      <c r="A77" s="2">
        <v>75</v>
      </c>
      <c r="B77" s="2">
        <v>1</v>
      </c>
      <c r="C77" s="2">
        <v>130</v>
      </c>
      <c r="D77" s="4">
        <v>2</v>
      </c>
      <c r="E77" s="4">
        <v>6</v>
      </c>
    </row>
    <row r="78" spans="1:5" x14ac:dyDescent="0.15">
      <c r="A78" s="2">
        <v>76</v>
      </c>
      <c r="B78" s="2">
        <v>2</v>
      </c>
      <c r="C78" s="2">
        <v>202</v>
      </c>
      <c r="D78" s="4">
        <v>3</v>
      </c>
      <c r="E78" s="4">
        <v>4</v>
      </c>
    </row>
    <row r="79" spans="1:5" x14ac:dyDescent="0.15">
      <c r="A79" s="2">
        <v>77</v>
      </c>
      <c r="B79" s="2">
        <v>1</v>
      </c>
      <c r="C79" s="2">
        <v>122</v>
      </c>
      <c r="D79" s="4">
        <v>1</v>
      </c>
      <c r="E79" s="4">
        <v>5</v>
      </c>
    </row>
    <row r="80" spans="1:5" x14ac:dyDescent="0.15">
      <c r="A80" s="2">
        <v>78</v>
      </c>
      <c r="B80" s="2">
        <v>1</v>
      </c>
      <c r="C80" s="2">
        <v>111</v>
      </c>
      <c r="D80" s="4">
        <v>2</v>
      </c>
      <c r="E80" s="4">
        <v>2</v>
      </c>
    </row>
    <row r="81" spans="1:5" x14ac:dyDescent="0.15">
      <c r="A81" s="2">
        <v>79</v>
      </c>
      <c r="B81" s="2">
        <v>2</v>
      </c>
      <c r="C81" s="2">
        <v>132</v>
      </c>
      <c r="D81" s="4">
        <v>10</v>
      </c>
      <c r="E81" s="4">
        <v>10</v>
      </c>
    </row>
    <row r="82" spans="1:5" x14ac:dyDescent="0.15">
      <c r="A82" s="2">
        <v>80</v>
      </c>
      <c r="B82" s="2">
        <v>2</v>
      </c>
      <c r="C82" s="2">
        <v>127</v>
      </c>
      <c r="D82" s="4">
        <v>10</v>
      </c>
      <c r="E82" s="4">
        <v>9</v>
      </c>
    </row>
    <row r="83" spans="1:5" x14ac:dyDescent="0.15">
      <c r="A83" s="2">
        <v>81</v>
      </c>
      <c r="B83" s="2">
        <v>1</v>
      </c>
      <c r="C83" s="2">
        <v>161</v>
      </c>
      <c r="D83" s="4">
        <v>7</v>
      </c>
      <c r="E83" s="4">
        <v>7</v>
      </c>
    </row>
    <row r="84" spans="1:5" x14ac:dyDescent="0.15">
      <c r="A84" s="2">
        <v>82</v>
      </c>
      <c r="B84" s="2">
        <v>2</v>
      </c>
      <c r="C84" s="2">
        <v>220</v>
      </c>
      <c r="D84" s="4">
        <v>7</v>
      </c>
      <c r="E84" s="4">
        <v>7</v>
      </c>
    </row>
    <row r="85" spans="1:5" x14ac:dyDescent="0.15">
      <c r="A85" s="2">
        <v>83</v>
      </c>
      <c r="B85" s="2">
        <v>2</v>
      </c>
      <c r="C85" s="2">
        <v>247</v>
      </c>
      <c r="D85" s="4">
        <v>9</v>
      </c>
      <c r="E85" s="4">
        <v>9</v>
      </c>
    </row>
    <row r="86" spans="1:5" x14ac:dyDescent="0.15">
      <c r="A86" s="2">
        <v>84</v>
      </c>
      <c r="B86" s="2">
        <v>2</v>
      </c>
      <c r="C86" s="2">
        <v>177</v>
      </c>
      <c r="D86" s="4">
        <v>10</v>
      </c>
      <c r="E86" s="4">
        <v>10</v>
      </c>
    </row>
    <row r="87" spans="1:5" x14ac:dyDescent="0.15">
      <c r="A87" s="2">
        <v>85</v>
      </c>
      <c r="B87" s="2">
        <v>1</v>
      </c>
      <c r="C87" s="2">
        <v>0</v>
      </c>
      <c r="D87" s="4">
        <v>3</v>
      </c>
      <c r="E87" s="4"/>
    </row>
    <row r="88" spans="1:5" x14ac:dyDescent="0.15">
      <c r="A88" s="2">
        <v>86</v>
      </c>
      <c r="B88" s="2">
        <v>2</v>
      </c>
      <c r="C88" s="2">
        <v>210</v>
      </c>
      <c r="D88" s="4">
        <v>10</v>
      </c>
      <c r="E88" s="4">
        <v>10</v>
      </c>
    </row>
    <row r="89" spans="1:5" x14ac:dyDescent="0.15">
      <c r="A89" s="2">
        <v>87</v>
      </c>
      <c r="B89" s="2">
        <v>1</v>
      </c>
      <c r="C89" s="2">
        <v>161</v>
      </c>
      <c r="D89" s="4">
        <v>10</v>
      </c>
      <c r="E89" s="4">
        <v>10</v>
      </c>
    </row>
    <row r="90" spans="1:5" x14ac:dyDescent="0.15">
      <c r="A90" s="2">
        <v>88</v>
      </c>
      <c r="B90" s="2">
        <v>1</v>
      </c>
      <c r="C90" s="2">
        <v>86</v>
      </c>
      <c r="D90" s="4">
        <v>9</v>
      </c>
      <c r="E90" s="4">
        <v>9</v>
      </c>
    </row>
    <row r="91" spans="1:5" x14ac:dyDescent="0.15">
      <c r="A91" s="2">
        <v>89</v>
      </c>
      <c r="B91" s="2">
        <v>1</v>
      </c>
      <c r="C91" s="2">
        <v>103</v>
      </c>
      <c r="D91" s="4">
        <v>6</v>
      </c>
      <c r="E91" s="4">
        <v>3</v>
      </c>
    </row>
    <row r="92" spans="1:5" x14ac:dyDescent="0.15">
      <c r="A92" s="2">
        <v>90</v>
      </c>
      <c r="B92" s="2">
        <v>2</v>
      </c>
      <c r="C92" s="2">
        <v>0</v>
      </c>
      <c r="D92" s="4">
        <v>1</v>
      </c>
      <c r="E92" s="4"/>
    </row>
    <row r="93" spans="1:5" x14ac:dyDescent="0.15">
      <c r="A93" s="2">
        <v>91</v>
      </c>
      <c r="B93" s="2">
        <v>2</v>
      </c>
      <c r="C93" s="2">
        <v>0</v>
      </c>
      <c r="D93" s="4">
        <v>1</v>
      </c>
      <c r="E93" s="4"/>
    </row>
    <row r="94" spans="1:5" x14ac:dyDescent="0.15">
      <c r="A94" s="2">
        <v>92</v>
      </c>
      <c r="B94" s="2">
        <v>2</v>
      </c>
      <c r="C94" s="2">
        <v>141</v>
      </c>
      <c r="D94" s="4">
        <v>7</v>
      </c>
      <c r="E94" s="4">
        <v>8</v>
      </c>
    </row>
    <row r="95" spans="1:5" x14ac:dyDescent="0.15">
      <c r="A95" s="2">
        <v>93</v>
      </c>
      <c r="B95" s="2">
        <v>2</v>
      </c>
      <c r="C95" s="2">
        <v>0</v>
      </c>
      <c r="D95" s="4">
        <v>8</v>
      </c>
      <c r="E95" s="4"/>
    </row>
    <row r="96" spans="1:5" x14ac:dyDescent="0.15">
      <c r="A96" s="2">
        <v>94</v>
      </c>
      <c r="B96" s="2">
        <v>2</v>
      </c>
      <c r="C96" s="2">
        <v>152</v>
      </c>
      <c r="D96" s="4">
        <v>4</v>
      </c>
      <c r="E96" s="4">
        <v>4</v>
      </c>
    </row>
    <row r="97" spans="1:5" x14ac:dyDescent="0.15">
      <c r="A97" s="2">
        <v>95</v>
      </c>
      <c r="B97" s="2">
        <v>1</v>
      </c>
      <c r="C97" s="2">
        <v>146</v>
      </c>
      <c r="D97" s="4">
        <v>2</v>
      </c>
      <c r="E97" s="4">
        <v>2</v>
      </c>
    </row>
    <row r="98" spans="1:5" x14ac:dyDescent="0.15">
      <c r="A98" s="2">
        <v>96</v>
      </c>
      <c r="B98" s="2">
        <v>2</v>
      </c>
      <c r="C98" s="2">
        <v>0</v>
      </c>
      <c r="D98" s="4">
        <v>8</v>
      </c>
      <c r="E98" s="4"/>
    </row>
    <row r="99" spans="1:5" x14ac:dyDescent="0.15">
      <c r="A99" s="2">
        <v>97</v>
      </c>
      <c r="B99" s="2">
        <v>1</v>
      </c>
      <c r="C99" s="2">
        <v>102</v>
      </c>
      <c r="D99" s="4">
        <v>1</v>
      </c>
      <c r="E99" s="4">
        <v>1</v>
      </c>
    </row>
    <row r="100" spans="1:5" x14ac:dyDescent="0.15">
      <c r="A100" s="2">
        <v>98</v>
      </c>
      <c r="B100" s="2">
        <v>2</v>
      </c>
      <c r="C100" s="2">
        <v>207</v>
      </c>
      <c r="D100" s="4">
        <v>5</v>
      </c>
      <c r="E100" s="4">
        <v>3</v>
      </c>
    </row>
    <row r="101" spans="1:5" x14ac:dyDescent="0.15">
      <c r="A101" s="2">
        <v>99</v>
      </c>
      <c r="B101" s="2">
        <v>2</v>
      </c>
      <c r="C101" s="2">
        <v>123</v>
      </c>
      <c r="D101" s="4">
        <v>9</v>
      </c>
      <c r="E101" s="4">
        <v>10</v>
      </c>
    </row>
    <row r="102" spans="1:5" x14ac:dyDescent="0.15">
      <c r="A102" s="2">
        <v>100</v>
      </c>
      <c r="B102" s="2">
        <v>2</v>
      </c>
      <c r="C102" s="2">
        <v>142</v>
      </c>
      <c r="D102" s="4">
        <v>9</v>
      </c>
      <c r="E102" s="4">
        <v>10</v>
      </c>
    </row>
  </sheetData>
  <mergeCells count="11">
    <mergeCell ref="B1:B2"/>
    <mergeCell ref="A1:A2"/>
    <mergeCell ref="C1:C2"/>
    <mergeCell ref="D1:E1"/>
    <mergeCell ref="H2:J2"/>
    <mergeCell ref="L5:L8"/>
    <mergeCell ref="L12:L15"/>
    <mergeCell ref="L19:L22"/>
    <mergeCell ref="L26:L29"/>
    <mergeCell ref="L33:L37"/>
    <mergeCell ref="L40:L45"/>
  </mergeCells>
  <printOptions horizontalCentered="1" verticalCentered="1" headings="1"/>
  <pageMargins left="0.25" right="0.25" top="0.75" bottom="0.75" header="0.3" footer="0.3"/>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NPS data</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cp:lastPrinted>2017-08-01T05:30:49Z</cp:lastPrinted>
  <dcterms:created xsi:type="dcterms:W3CDTF">2013-03-08T22:29:43Z</dcterms:created>
  <dcterms:modified xsi:type="dcterms:W3CDTF">2020-08-13T03:32:26Z</dcterms:modified>
</cp:coreProperties>
</file>